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640" activeTab="0"/>
  </bookViews>
  <sheets>
    <sheet name="Vejledning" sheetId="1" r:id="rId1"/>
    <sheet name="Intervalløn" sheetId="2" r:id="rId2"/>
    <sheet name="DOKS og PO organister" sheetId="3" r:id="rId3"/>
    <sheet name="Kvote-timer" sheetId="4" r:id="rId4"/>
  </sheets>
  <definedNames>
    <definedName name="_xlnm.Print_Area" localSheetId="2">'DOKS og PO organister'!$A$1:$J$40</definedName>
    <definedName name="_xlnm.Print_Area" localSheetId="1">'Intervalløn'!$A$1:$K$37</definedName>
  </definedNames>
  <calcPr fullCalcOnLoad="1"/>
</workbook>
</file>

<file path=xl/sharedStrings.xml><?xml version="1.0" encoding="utf-8"?>
<sst xmlns="http://schemas.openxmlformats.org/spreadsheetml/2006/main" count="107" uniqueCount="70">
  <si>
    <t>Gl. løn</t>
  </si>
  <si>
    <t>Kvalifikationstillæg</t>
  </si>
  <si>
    <t>Funktionstillæg</t>
  </si>
  <si>
    <t>Rådighedstillæg</t>
  </si>
  <si>
    <t>Grundbeløb</t>
  </si>
  <si>
    <t xml:space="preserve">Faktisk løn </t>
  </si>
  <si>
    <t>Reguleringsfaktor</t>
  </si>
  <si>
    <t xml:space="preserve">Månedsløn </t>
  </si>
  <si>
    <t>Månedsløn i alt (eks. rådighedstillæg)</t>
  </si>
  <si>
    <t>Difference (+ = mere i løn) årligt</t>
  </si>
  <si>
    <t>Gravere</t>
  </si>
  <si>
    <t>Kirketjenere</t>
  </si>
  <si>
    <t>Kordegne</t>
  </si>
  <si>
    <t>Sognemedhjælpere</t>
  </si>
  <si>
    <t>Kirkemusikere</t>
  </si>
  <si>
    <t>over</t>
  </si>
  <si>
    <t>Aftalte intervaler for de enkelte protokolater.</t>
  </si>
  <si>
    <t>Aftalte løntrin for:</t>
  </si>
  <si>
    <t>DOKS</t>
  </si>
  <si>
    <t>FPO</t>
  </si>
  <si>
    <t xml:space="preserve">trin </t>
  </si>
  <si>
    <t>to-årigt</t>
  </si>
  <si>
    <t>Arbejdstidsbrøk</t>
  </si>
  <si>
    <t>Løn i alt  efter afrundet grundbeløb</t>
  </si>
  <si>
    <t>Evt. udligningstillæg</t>
  </si>
  <si>
    <t>Udligningstillæg</t>
  </si>
  <si>
    <r>
      <t xml:space="preserve">Gl. løn </t>
    </r>
    <r>
      <rPr>
        <sz val="11"/>
        <color indexed="8"/>
        <rFont val="Times New Roman"/>
        <family val="1"/>
      </rPr>
      <t>(værdier tages fra FLØS lønspecifikation)</t>
    </r>
  </si>
  <si>
    <t>Månedsløn</t>
  </si>
  <si>
    <t>Andre tillæg (eks. rådighedstillæg)</t>
  </si>
  <si>
    <t>Administrationstillæg</t>
  </si>
  <si>
    <r>
      <t xml:space="preserve">Lokalt aftalt pensionsordning </t>
    </r>
    <r>
      <rPr>
        <sz val="10"/>
        <color indexed="8"/>
        <rFont val="Times New Roman"/>
        <family val="1"/>
      </rPr>
      <t>(for honorarlønnede)</t>
    </r>
  </si>
  <si>
    <t>Rådighedstillæg pr. måned</t>
  </si>
  <si>
    <t>Resultat af beregninger</t>
  </si>
  <si>
    <t>Navn og stilling</t>
  </si>
  <si>
    <t>Rådighedstillæg efter ny overenskomst</t>
  </si>
  <si>
    <t>Intervalløn eks. rådighedstillæg</t>
  </si>
  <si>
    <t>Ny-Løn (årlig)</t>
  </si>
  <si>
    <t>Gr.beløb 1/10-97</t>
  </si>
  <si>
    <t>Beløb 1/10-09</t>
  </si>
  <si>
    <t>Samlet månedsløn (brutto)</t>
  </si>
  <si>
    <t>Årsløn i alt i forhold til timetal pr. uge</t>
  </si>
  <si>
    <t>Årsløn i alt (eks. rådighedstillæg) afrundet</t>
  </si>
  <si>
    <t>Fixpunkt</t>
  </si>
  <si>
    <t>Fixpunkt HS</t>
  </si>
  <si>
    <t>Forhandling i KM+ORG.</t>
  </si>
  <si>
    <t>Start int.</t>
  </si>
  <si>
    <t>Slut int.</t>
  </si>
  <si>
    <t>Mellemregning (fra TJL-løn)</t>
  </si>
  <si>
    <t>I alt løn i nutids kr. (1/10-09) årligt</t>
  </si>
  <si>
    <t>I alt løn i nutids kr. (1/10-09) månedligt</t>
  </si>
  <si>
    <t>PO-tillæg</t>
  </si>
  <si>
    <t>3-kirketillæg</t>
  </si>
  <si>
    <t>Løn efter basisløntrin (eks. rådighedstillæg)</t>
  </si>
  <si>
    <t>Løn efter gammel aftale</t>
  </si>
  <si>
    <t>Samlet årsløn efter ny aftale</t>
  </si>
  <si>
    <t>Difference (+ = mere i løn) årligt, hvis negativ se nedenfor</t>
  </si>
  <si>
    <t>Årsløn i alt (eks. rådighedstillæg)</t>
  </si>
  <si>
    <t>Angiv FIKSpunkt for løninterval</t>
  </si>
  <si>
    <t>Medarbejdernr.</t>
  </si>
  <si>
    <t>FLØS-oplysninger</t>
  </si>
  <si>
    <t>Arbejdsgivernr.</t>
  </si>
  <si>
    <t>Beregning af løn på ny organisationsaftale pr. 1. januar 2010.</t>
  </si>
  <si>
    <t>Beregning af løn på ny overenskomst pr. 1. januar 2010.</t>
  </si>
  <si>
    <t>Andre tillæg</t>
  </si>
  <si>
    <t>Vers. 2/2009 hen/jlh</t>
  </si>
  <si>
    <t>Timetal efter overenskomst</t>
  </si>
  <si>
    <t>Gamle kvote (%)</t>
  </si>
  <si>
    <t>Omregningen herunder gælder for ansatte der tidligere var ansat på tjenestemandslignende vilkår:</t>
  </si>
  <si>
    <t>Vers. 3/2009 hen/jlh</t>
  </si>
  <si>
    <t>DOKS-organister, PO-organister, Gravere, Kirketjenere og Kordegne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</si>
</sst>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2"/>
    </font>
    <font>
      <b/>
      <sz val="12"/>
      <color indexed="10"/>
      <name val="Times New Roman"/>
      <family val="1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0"/>
      <color indexed="8"/>
      <name val="Calibri"/>
      <family val="0"/>
    </font>
    <font>
      <u val="single"/>
      <sz val="10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4" fontId="51" fillId="0" borderId="0" xfId="0" applyNumberFormat="1" applyFont="1" applyAlignment="1">
      <alignment horizontal="right"/>
    </xf>
    <xf numFmtId="4" fontId="0" fillId="35" borderId="0" xfId="0" applyNumberFormat="1" applyFill="1" applyBorder="1" applyAlignment="1" applyProtection="1">
      <alignment/>
      <protection locked="0"/>
    </xf>
    <xf numFmtId="4" fontId="0" fillId="35" borderId="12" xfId="0" applyNumberFormat="1" applyFill="1" applyBorder="1" applyAlignment="1" applyProtection="1">
      <alignment/>
      <protection locked="0"/>
    </xf>
    <xf numFmtId="4" fontId="0" fillId="35" borderId="14" xfId="0" applyNumberFormat="1" applyFill="1" applyBorder="1" applyAlignment="1" applyProtection="1">
      <alignment/>
      <protection locked="0"/>
    </xf>
    <xf numFmtId="4" fontId="0" fillId="35" borderId="17" xfId="0" applyNumberForma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3" fontId="0" fillId="0" borderId="0" xfId="0" applyNumberFormat="1" applyAlignment="1">
      <alignment horizontal="center"/>
    </xf>
    <xf numFmtId="0" fontId="52" fillId="0" borderId="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" fontId="0" fillId="35" borderId="11" xfId="0" applyNumberFormat="1" applyFill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0" fillId="2" borderId="16" xfId="0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" fontId="0" fillId="35" borderId="0" xfId="0" applyNumberFormat="1" applyFill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8</xdr:col>
      <xdr:colOff>542925</xdr:colOff>
      <xdr:row>45</xdr:row>
      <xdr:rowOff>123825</xdr:rowOff>
    </xdr:to>
    <xdr:sp>
      <xdr:nvSpPr>
        <xdr:cNvPr id="1" name="Tekstboks 1"/>
        <xdr:cNvSpPr txBox="1">
          <a:spLocks noChangeArrowheads="1"/>
        </xdr:cNvSpPr>
      </xdr:nvSpPr>
      <xdr:spPr>
        <a:xfrm>
          <a:off x="114300" y="85725"/>
          <a:ext cx="5915025" cy="903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Vejledning for brugen af regneark i forbindelse med overgang til overenskomst.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er udarbejdet 2 regneark,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samt en omregningstabel af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kvote til timer (se faneblade).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Intervalløn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Omfatter stillingsgrupperne: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Gravere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Kirketjenere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Kordegne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Sognemedhjælpere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Kirkemusikere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DOKS og PO organister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Omfatter DOKS organister og PO organister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Kvote-timer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Anvendes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til omregning fra kvote til timer for de medarbejdere,  som tidligere var ansat på tjenestemandslignende vilkår (DOKS-organist, PO-organister, Gravere, Kirketjenere og Kordegne)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Udfyldelse og brugen af regnearkene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Regnearkene er udarbejdet således, at de grønne felter SKAL udfyldes. Det er ikke muligt at taste i andre felter. For at komme fra det ene grønne felt til det næste grønne felt, kan med fordel anvendes tasten TAB.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gule felter er mellemregninger.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 højre for de grønne felter findes en rød kasse. I kassen er beskrevet en tekst der forklare hvad der skal ske med de værdier hvortil markeringen (linjen) angives.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Yderste findes lønniveauet for de enkelte stillingsgrupper.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Nederst i de lyse grå felter vises resultatet af beregningen.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200025</xdr:colOff>
      <xdr:row>36</xdr:row>
      <xdr:rowOff>123825</xdr:rowOff>
    </xdr:from>
    <xdr:to>
      <xdr:col>8</xdr:col>
      <xdr:colOff>342900</xdr:colOff>
      <xdr:row>40</xdr:row>
      <xdr:rowOff>9525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200025" y="7324725"/>
          <a:ext cx="56292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Når en ny beregning skal foretages på en anden medarbejder SKAL der hentes et ”tomt” regneark – man må ikke genbruge det regneark som man tidligere har udfyldt, på en anden medarbejder.</a:t>
          </a:r>
        </a:p>
      </xdr:txBody>
    </xdr:sp>
    <xdr:clientData/>
  </xdr:twoCellAnchor>
  <xdr:twoCellAnchor>
    <xdr:from>
      <xdr:col>0</xdr:col>
      <xdr:colOff>190500</xdr:colOff>
      <xdr:row>19</xdr:row>
      <xdr:rowOff>180975</xdr:rowOff>
    </xdr:from>
    <xdr:to>
      <xdr:col>8</xdr:col>
      <xdr:colOff>333375</xdr:colOff>
      <xdr:row>22</xdr:row>
      <xdr:rowOff>190500</xdr:rowOff>
    </xdr:to>
    <xdr:sp>
      <xdr:nvSpPr>
        <xdr:cNvPr id="3" name="Tekstboks 4"/>
        <xdr:cNvSpPr txBox="1">
          <a:spLocks noChangeArrowheads="1"/>
        </xdr:cNvSpPr>
      </xdr:nvSpPr>
      <xdr:spPr>
        <a:xfrm>
          <a:off x="190500" y="3981450"/>
          <a:ext cx="56292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Det er nødvendigt for udfyldelsen, at man har protokollatet for de enkelte stillingsgrupper liggende, da rådighedstillæg, basisløntrin eller fikspunktet  i vises tilfælde skal vurderes.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</xdr:row>
      <xdr:rowOff>19050</xdr:rowOff>
    </xdr:from>
    <xdr:to>
      <xdr:col>6</xdr:col>
      <xdr:colOff>352425</xdr:colOff>
      <xdr:row>29</xdr:row>
      <xdr:rowOff>57150</xdr:rowOff>
    </xdr:to>
    <xdr:sp>
      <xdr:nvSpPr>
        <xdr:cNvPr id="1" name="Stregbilledforklaring 2 1"/>
        <xdr:cNvSpPr>
          <a:spLocks/>
        </xdr:cNvSpPr>
      </xdr:nvSpPr>
      <xdr:spPr>
        <a:xfrm>
          <a:off x="4857750" y="1514475"/>
          <a:ext cx="2171700" cy="4238625"/>
        </a:xfrm>
        <a:prstGeom prst="borderCallout2">
          <a:avLst>
            <a:gd name="adj1" fmla="val -102199"/>
            <a:gd name="adj2" fmla="val 63611"/>
            <a:gd name="adj3" fmla="val -97249"/>
            <a:gd name="adj4" fmla="val 47398"/>
            <a:gd name="adj5" fmla="val -51856"/>
            <a:gd name="adj6" fmla="val 4459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Dette</a:t>
          </a:r>
          <a:r>
            <a:rPr lang="en-US" cap="none" sz="1100" b="0" i="0" u="none" baseline="0">
              <a:solidFill>
                <a:srgbClr val="000000"/>
              </a:solidFill>
            </a:rPr>
            <a:t> grundbeløb skal ligge indenfor den i overenskomsten aftalte intervalløn ud fra opgavesættet i stillingen.  Overstiger lønnen intervallet øverste  grundbeløb udmøntes udligningstillæg. Ligger den under </a:t>
          </a:r>
          <a:r>
            <a:rPr lang="en-US" cap="none" sz="1100" b="1" i="0" u="none" baseline="0">
              <a:solidFill>
                <a:srgbClr val="000000"/>
              </a:solidFill>
            </a:rPr>
            <a:t>skal </a:t>
          </a:r>
          <a:r>
            <a:rPr lang="en-US" cap="none" sz="1100" b="0" i="0" u="none" baseline="0">
              <a:solidFill>
                <a:srgbClr val="000000"/>
              </a:solidFill>
            </a:rPr>
            <a:t>medarbejderen indplaceres på fixpunktet.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Beløbet indberettes på :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Graver</a:t>
          </a:r>
          <a:r>
            <a:rPr lang="en-US" cap="none" sz="1100" b="0" i="0" u="none" baseline="0">
              <a:solidFill>
                <a:srgbClr val="000000"/>
              </a:solidFill>
            </a:rPr>
            <a:t> = Lønart 2985 eller Lønart 2986 alt efter løninterval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Kirketjener</a:t>
          </a:r>
          <a:r>
            <a:rPr lang="en-US" cap="none" sz="1100" b="0" i="0" u="none" baseline="0">
              <a:solidFill>
                <a:srgbClr val="000000"/>
              </a:solidFill>
            </a:rPr>
            <a:t> = Lønart 2980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Kordegne</a:t>
          </a:r>
          <a:r>
            <a:rPr lang="en-US" cap="none" sz="1100" b="0" i="0" u="none" baseline="0">
              <a:solidFill>
                <a:srgbClr val="000000"/>
              </a:solidFill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</a:rPr>
            <a:t>Lønart</a:t>
          </a:r>
          <a:r>
            <a:rPr lang="en-US" cap="none" sz="1100" b="0" i="0" u="none" baseline="0">
              <a:solidFill>
                <a:srgbClr val="000000"/>
              </a:solidFill>
            </a:rPr>
            <a:t> 2970,</a:t>
          </a:r>
          <a:r>
            <a:rPr lang="en-US" cap="none" sz="1100" b="0" i="0" u="none" baseline="0">
              <a:solidFill>
                <a:srgbClr val="000000"/>
              </a:solidFill>
            </a:rPr>
            <a:t>Lønart </a:t>
          </a:r>
          <a:r>
            <a:rPr lang="en-US" cap="none" sz="1100" b="0" i="0" u="none" baseline="0">
              <a:solidFill>
                <a:srgbClr val="000000"/>
              </a:solidFill>
            </a:rPr>
            <a:t>2971 eller </a:t>
          </a:r>
          <a:r>
            <a:rPr lang="en-US" cap="none" sz="1100" b="0" i="0" u="none" baseline="0">
              <a:solidFill>
                <a:srgbClr val="000000"/>
              </a:solidFill>
            </a:rPr>
            <a:t>Lønart</a:t>
          </a:r>
          <a:r>
            <a:rPr lang="en-US" cap="none" sz="1100" b="0" i="0" u="none" baseline="0">
              <a:solidFill>
                <a:srgbClr val="000000"/>
              </a:solidFill>
            </a:rPr>
            <a:t> 2972, alt efter løninterval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Sognemedhjælper</a:t>
          </a:r>
          <a:r>
            <a:rPr lang="en-US" cap="none" sz="1100" b="0" i="0" u="none" baseline="0">
              <a:solidFill>
                <a:srgbClr val="000000"/>
              </a:solidFill>
            </a:rPr>
            <a:t> = Lønart 2976 eller Lønart 2977 alt efter løninterval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Kirkemusikker</a:t>
          </a:r>
          <a:r>
            <a:rPr lang="en-US" cap="none" sz="1100" b="0" i="0" u="none" baseline="0">
              <a:solidFill>
                <a:srgbClr val="000000"/>
              </a:solidFill>
            </a:rPr>
            <a:t> = LA 2990</a:t>
          </a:r>
        </a:p>
      </xdr:txBody>
    </xdr:sp>
    <xdr:clientData/>
  </xdr:twoCellAnchor>
  <xdr:twoCellAnchor>
    <xdr:from>
      <xdr:col>3</xdr:col>
      <xdr:colOff>257175</xdr:colOff>
      <xdr:row>29</xdr:row>
      <xdr:rowOff>114300</xdr:rowOff>
    </xdr:from>
    <xdr:to>
      <xdr:col>6</xdr:col>
      <xdr:colOff>342900</xdr:colOff>
      <xdr:row>37</xdr:row>
      <xdr:rowOff>28575</xdr:rowOff>
    </xdr:to>
    <xdr:sp>
      <xdr:nvSpPr>
        <xdr:cNvPr id="2" name="Stregbilledforklaring 2 2"/>
        <xdr:cNvSpPr>
          <a:spLocks/>
        </xdr:cNvSpPr>
      </xdr:nvSpPr>
      <xdr:spPr>
        <a:xfrm>
          <a:off x="4886325" y="5810250"/>
          <a:ext cx="2133600" cy="1514475"/>
        </a:xfrm>
        <a:prstGeom prst="borderCallout2">
          <a:avLst>
            <a:gd name="adj1" fmla="val -102601"/>
            <a:gd name="adj2" fmla="val 6365"/>
            <a:gd name="adj3" fmla="val -88708"/>
            <a:gd name="adj4" fmla="val 30509"/>
            <a:gd name="adj5" fmla="val -55652"/>
            <a:gd name="adj6" fmla="val 3155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Dette</a:t>
          </a:r>
          <a:r>
            <a:rPr lang="en-US" cap="none" sz="1100" b="0" i="0" u="none" baseline="0">
              <a:solidFill>
                <a:srgbClr val="000000"/>
              </a:solidFill>
            </a:rPr>
            <a:t> grundbeløb skal indberettes på :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Graver</a:t>
          </a:r>
          <a:r>
            <a:rPr lang="en-US" cap="none" sz="1100" b="0" i="0" u="none" baseline="0">
              <a:solidFill>
                <a:srgbClr val="000000"/>
              </a:solidFill>
            </a:rPr>
            <a:t> = Lønart 2960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Kirketjener</a:t>
          </a:r>
          <a:r>
            <a:rPr lang="en-US" cap="none" sz="1100" b="0" i="0" u="none" baseline="0">
              <a:solidFill>
                <a:srgbClr val="000000"/>
              </a:solidFill>
            </a:rPr>
            <a:t> = Lønart 2960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Kordegn</a:t>
          </a:r>
          <a:r>
            <a:rPr lang="en-US" cap="none" sz="1100" b="0" i="0" u="none" baseline="0">
              <a:solidFill>
                <a:srgbClr val="000000"/>
              </a:solidFill>
            </a:rPr>
            <a:t> = Lønart 2955 
</a:t>
          </a:r>
          <a:r>
            <a:rPr lang="en-US" cap="none" sz="1100" b="1" i="0" u="none" baseline="0">
              <a:solidFill>
                <a:srgbClr val="000000"/>
              </a:solidFill>
            </a:rPr>
            <a:t>Kirkemusiker</a:t>
          </a:r>
          <a:r>
            <a:rPr lang="en-US" cap="none" sz="1100" b="0" i="0" u="none" baseline="0">
              <a:solidFill>
                <a:srgbClr val="000000"/>
              </a:solidFill>
            </a:rPr>
            <a:t> = Lønart 2955 </a:t>
          </a:r>
        </a:p>
      </xdr:txBody>
    </xdr:sp>
    <xdr:clientData/>
  </xdr:twoCellAnchor>
  <xdr:twoCellAnchor>
    <xdr:from>
      <xdr:col>3</xdr:col>
      <xdr:colOff>200025</xdr:colOff>
      <xdr:row>0</xdr:row>
      <xdr:rowOff>38100</xdr:rowOff>
    </xdr:from>
    <xdr:to>
      <xdr:col>6</xdr:col>
      <xdr:colOff>323850</xdr:colOff>
      <xdr:row>7</xdr:row>
      <xdr:rowOff>171450</xdr:rowOff>
    </xdr:to>
    <xdr:sp>
      <xdr:nvSpPr>
        <xdr:cNvPr id="3" name="Stregbilledforklaring 2 3"/>
        <xdr:cNvSpPr>
          <a:spLocks/>
        </xdr:cNvSpPr>
      </xdr:nvSpPr>
      <xdr:spPr>
        <a:xfrm>
          <a:off x="4829175" y="38100"/>
          <a:ext cx="2171700" cy="1428750"/>
        </a:xfrm>
        <a:prstGeom prst="borderCallout2">
          <a:avLst>
            <a:gd name="adj1" fmla="val -99018"/>
            <a:gd name="adj2" fmla="val 18254"/>
            <a:gd name="adj3" fmla="val -74560"/>
            <a:gd name="adj4" fmla="val -8222"/>
            <a:gd name="adj5" fmla="val -53050"/>
            <a:gd name="adj6" fmla="val -822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Ugentlige arbejdstimer indtastes</a:t>
          </a:r>
          <a:r>
            <a:rPr lang="en-US" cap="none" sz="1000" b="0" i="0" u="none" baseline="0">
              <a:solidFill>
                <a:srgbClr val="000000"/>
              </a:solidFill>
            </a:rPr>
            <a:t> i </a:t>
          </a:r>
          <a:r>
            <a:rPr lang="en-US" cap="none" sz="1000" b="0" i="0" u="sng" baseline="0">
              <a:solidFill>
                <a:srgbClr val="000000"/>
              </a:solidFill>
            </a:rPr>
            <a:t>hele/halve </a:t>
          </a:r>
          <a:r>
            <a:rPr lang="en-US" cap="none" sz="1000" b="0" i="0" u="none" baseline="0">
              <a:solidFill>
                <a:srgbClr val="000000"/>
              </a:solidFill>
            </a:rPr>
            <a:t>timer , for  ansatte  der tidligere var ansat på tjeneste- mandslignende vilkår, se fanebladet Kvote-timer. For andre ansatte, indtastes arbejdstiden i  </a:t>
          </a:r>
          <a:r>
            <a:rPr lang="en-US" cap="none" sz="1000" b="0" i="0" u="sng" baseline="0">
              <a:solidFill>
                <a:srgbClr val="000000"/>
              </a:solidFill>
            </a:rPr>
            <a:t>hele </a:t>
          </a:r>
          <a:r>
            <a:rPr lang="en-US" cap="none" sz="1000" b="0" i="0" u="none" baseline="0">
              <a:solidFill>
                <a:srgbClr val="000000"/>
              </a:solidFill>
            </a:rPr>
            <a:t> timer.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Menighedsrådet  fastsætter, under hensyntagen til den hidtidig kvote, det fremtidige timetal.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13</xdr:row>
      <xdr:rowOff>47625</xdr:rowOff>
    </xdr:from>
    <xdr:to>
      <xdr:col>6</xdr:col>
      <xdr:colOff>352425</xdr:colOff>
      <xdr:row>20</xdr:row>
      <xdr:rowOff>9525</xdr:rowOff>
    </xdr:to>
    <xdr:sp>
      <xdr:nvSpPr>
        <xdr:cNvPr id="1" name="Stregbilledforklaring 2 1"/>
        <xdr:cNvSpPr>
          <a:spLocks/>
        </xdr:cNvSpPr>
      </xdr:nvSpPr>
      <xdr:spPr>
        <a:xfrm>
          <a:off x="4772025" y="2533650"/>
          <a:ext cx="2257425" cy="1257300"/>
        </a:xfrm>
        <a:prstGeom prst="borderCallout2">
          <a:avLst>
            <a:gd name="adj1" fmla="val -97273"/>
            <a:gd name="adj2" fmla="val 1828"/>
            <a:gd name="adj3" fmla="val -87949"/>
            <a:gd name="adj4" fmla="val -29717"/>
            <a:gd name="adj5" fmla="val -53962"/>
            <a:gd name="adj6" fmla="val -3564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Dette beløb er skalatrinslønnen + tillæg (dog ikke rådighedstillæg) omregnet til grundbeløb 1/10-97.
</a:t>
          </a:r>
          <a:r>
            <a:rPr lang="en-US" cap="none" sz="1100" b="0" i="0" u="none" baseline="0">
              <a:solidFill>
                <a:srgbClr val="000000"/>
              </a:solidFill>
            </a:rPr>
            <a:t>Dette</a:t>
          </a:r>
          <a:r>
            <a:rPr lang="en-US" cap="none" sz="1100" b="0" i="0" u="none" baseline="0">
              <a:solidFill>
                <a:srgbClr val="000000"/>
              </a:solidFill>
            </a:rPr>
            <a:t> grundbeløb er udgangspunkt for valg af nyt basisløntrin jf. skala i kolonne H.</a:t>
          </a:r>
        </a:p>
      </xdr:txBody>
    </xdr:sp>
    <xdr:clientData/>
  </xdr:twoCellAnchor>
  <xdr:twoCellAnchor>
    <xdr:from>
      <xdr:col>3</xdr:col>
      <xdr:colOff>180975</xdr:colOff>
      <xdr:row>20</xdr:row>
      <xdr:rowOff>123825</xdr:rowOff>
    </xdr:from>
    <xdr:to>
      <xdr:col>6</xdr:col>
      <xdr:colOff>352425</xdr:colOff>
      <xdr:row>26</xdr:row>
      <xdr:rowOff>95250</xdr:rowOff>
    </xdr:to>
    <xdr:sp>
      <xdr:nvSpPr>
        <xdr:cNvPr id="2" name="Stregbilledforklaring 2 2"/>
        <xdr:cNvSpPr>
          <a:spLocks/>
        </xdr:cNvSpPr>
      </xdr:nvSpPr>
      <xdr:spPr>
        <a:xfrm>
          <a:off x="4810125" y="3905250"/>
          <a:ext cx="2219325" cy="1095375"/>
        </a:xfrm>
        <a:prstGeom prst="borderCallout2">
          <a:avLst>
            <a:gd name="adj1" fmla="val -98694"/>
            <a:gd name="adj2" fmla="val -10634"/>
            <a:gd name="adj3" fmla="val -91384"/>
            <a:gd name="adj4" fmla="val -33814"/>
            <a:gd name="adj5" fmla="val -53800"/>
            <a:gd name="adj6" fmla="val -3929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Her angives det basisløntrin (grundbeløb) der ligger nærmest over værdien i B18 (se lyseblåt felt).
</a:t>
          </a:r>
          <a:r>
            <a:rPr lang="en-US" cap="none" sz="1100" b="0" i="0" u="none" baseline="0">
              <a:solidFill>
                <a:srgbClr val="000000"/>
              </a:solidFill>
            </a:rPr>
            <a:t>Vær opmærksom på organistens uddannelse DOKS/FPO.</a:t>
          </a:r>
        </a:p>
      </xdr:txBody>
    </xdr:sp>
    <xdr:clientData/>
  </xdr:twoCellAnchor>
  <xdr:twoCellAnchor>
    <xdr:from>
      <xdr:col>3</xdr:col>
      <xdr:colOff>161925</xdr:colOff>
      <xdr:row>35</xdr:row>
      <xdr:rowOff>57150</xdr:rowOff>
    </xdr:from>
    <xdr:to>
      <xdr:col>6</xdr:col>
      <xdr:colOff>352425</xdr:colOff>
      <xdr:row>39</xdr:row>
      <xdr:rowOff>47625</xdr:rowOff>
    </xdr:to>
    <xdr:sp>
      <xdr:nvSpPr>
        <xdr:cNvPr id="3" name="Stregbilledforklaring 2 3"/>
        <xdr:cNvSpPr>
          <a:spLocks/>
        </xdr:cNvSpPr>
      </xdr:nvSpPr>
      <xdr:spPr>
        <a:xfrm>
          <a:off x="4791075" y="6505575"/>
          <a:ext cx="2238375" cy="695325"/>
        </a:xfrm>
        <a:prstGeom prst="borderCallout2">
          <a:avLst>
            <a:gd name="adj1" fmla="val -98097"/>
            <a:gd name="adj2" fmla="val 45185"/>
            <a:gd name="adj3" fmla="val -92273"/>
            <a:gd name="adj4" fmla="val -21523"/>
            <a:gd name="adj5" fmla="val -52898"/>
            <a:gd name="adj6" fmla="val -3345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Hvis dette felt indeholder et beløb skal værdien angives på lønart 2920.</a:t>
          </a:r>
        </a:p>
      </xdr:txBody>
    </xdr:sp>
    <xdr:clientData/>
  </xdr:twoCellAnchor>
  <xdr:twoCellAnchor>
    <xdr:from>
      <xdr:col>3</xdr:col>
      <xdr:colOff>161925</xdr:colOff>
      <xdr:row>27</xdr:row>
      <xdr:rowOff>76200</xdr:rowOff>
    </xdr:from>
    <xdr:to>
      <xdr:col>6</xdr:col>
      <xdr:colOff>352425</xdr:colOff>
      <xdr:row>34</xdr:row>
      <xdr:rowOff>123825</xdr:rowOff>
    </xdr:to>
    <xdr:sp>
      <xdr:nvSpPr>
        <xdr:cNvPr id="4" name="Stregbilledforklaring 2 4"/>
        <xdr:cNvSpPr>
          <a:spLocks/>
        </xdr:cNvSpPr>
      </xdr:nvSpPr>
      <xdr:spPr>
        <a:xfrm>
          <a:off x="4791075" y="5095875"/>
          <a:ext cx="2238375" cy="1276350"/>
        </a:xfrm>
        <a:prstGeom prst="borderCallout2">
          <a:avLst>
            <a:gd name="adj1" fmla="val -96421"/>
            <a:gd name="adj2" fmla="val -82805"/>
            <a:gd name="adj3" fmla="val -60037"/>
            <a:gd name="adj4" fmla="val -59375"/>
            <a:gd name="adj5" fmla="val -52550"/>
            <a:gd name="adj6" fmla="val -46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 DOKS organister afhænger rådighedstillægget af organistens anciennitet, jf. §4, stk 2.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For PO organister afhænger rådighedstillægget af det antal kirker organisten betjener, jf. §5,stk. 2.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6</xdr:col>
      <xdr:colOff>342900</xdr:colOff>
      <xdr:row>6</xdr:row>
      <xdr:rowOff>28575</xdr:rowOff>
    </xdr:to>
    <xdr:sp>
      <xdr:nvSpPr>
        <xdr:cNvPr id="5" name="Stregbilledforklaring 2 5"/>
        <xdr:cNvSpPr>
          <a:spLocks/>
        </xdr:cNvSpPr>
      </xdr:nvSpPr>
      <xdr:spPr>
        <a:xfrm>
          <a:off x="4743450" y="352425"/>
          <a:ext cx="2276475" cy="866775"/>
        </a:xfrm>
        <a:prstGeom prst="borderCallout2">
          <a:avLst>
            <a:gd name="adj1" fmla="val -92120"/>
            <a:gd name="adj2" fmla="val 18490"/>
            <a:gd name="adj3" fmla="val -77907"/>
            <a:gd name="adj4" fmla="val -14625"/>
            <a:gd name="adj5" fmla="val -53050"/>
            <a:gd name="adj6" fmla="val -1756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Ugentlige arbejdstimer indtastes</a:t>
          </a:r>
          <a:r>
            <a:rPr lang="en-US" cap="none" sz="1100" b="0" i="0" u="none" baseline="0">
              <a:solidFill>
                <a:srgbClr val="000000"/>
              </a:solidFill>
            </a:rPr>
            <a:t> i </a:t>
          </a:r>
          <a:r>
            <a:rPr lang="en-US" cap="none" sz="1100" b="0" i="0" u="sng" baseline="0">
              <a:solidFill>
                <a:srgbClr val="000000"/>
              </a:solidFill>
            </a:rPr>
            <a:t>hele/halve</a:t>
          </a:r>
          <a:r>
            <a:rPr lang="en-US" cap="none" sz="1100" b="0" i="0" u="none" baseline="0">
              <a:solidFill>
                <a:srgbClr val="000000"/>
              </a:solidFill>
            </a:rPr>
            <a:t> timer. For omregning fra kvote til timer, se fanebladet kvote-timer.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48:H48"/>
  <sheetViews>
    <sheetView tabSelected="1" zoomScalePageLayoutView="0" workbookViewId="0" topLeftCell="A1">
      <selection activeCell="A1" sqref="A1"/>
    </sheetView>
  </sheetViews>
  <sheetFormatPr defaultColWidth="9.00390625" defaultRowHeight="15.75"/>
  <sheetData>
    <row r="48" ht="15.75">
      <c r="H48" s="58" t="s">
        <v>68</v>
      </c>
    </row>
  </sheetData>
  <sheetProtection password="CABB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37.125" style="0" customWidth="1"/>
    <col min="2" max="2" width="12.00390625" style="0" customWidth="1"/>
    <col min="3" max="3" width="11.625" style="0" customWidth="1"/>
    <col min="5" max="5" width="8.875" style="0" customWidth="1"/>
    <col min="7" max="7" width="5.625" style="0" customWidth="1"/>
    <col min="8" max="8" width="8.625" style="0" customWidth="1"/>
    <col min="11" max="11" width="11.75390625" style="0" customWidth="1"/>
  </cols>
  <sheetData>
    <row r="1" spans="1:14" ht="20.25">
      <c r="A1" s="4" t="s">
        <v>61</v>
      </c>
      <c r="M1">
        <v>1.296544</v>
      </c>
      <c r="N1" t="s">
        <v>6</v>
      </c>
    </row>
    <row r="2" spans="1:10" ht="16.5" thickBot="1">
      <c r="A2" s="1" t="s">
        <v>33</v>
      </c>
      <c r="B2" s="17"/>
      <c r="C2" s="17"/>
      <c r="G2" s="49"/>
      <c r="H2" s="42" t="s">
        <v>59</v>
      </c>
      <c r="I2" s="49"/>
      <c r="J2" s="49"/>
    </row>
    <row r="3" spans="1:10" ht="15.75">
      <c r="A3" s="55"/>
      <c r="B3" s="17"/>
      <c r="C3" s="17"/>
      <c r="G3" s="50"/>
      <c r="H3" s="54" t="s">
        <v>60</v>
      </c>
      <c r="I3" s="51"/>
      <c r="J3" s="61"/>
    </row>
    <row r="4" spans="1:10" ht="16.5" thickBot="1">
      <c r="A4" s="56"/>
      <c r="G4" s="49"/>
      <c r="H4" s="52" t="s">
        <v>58</v>
      </c>
      <c r="I4" s="53"/>
      <c r="J4" s="62"/>
    </row>
    <row r="5" ht="9.75" customHeight="1">
      <c r="A5" s="17"/>
    </row>
    <row r="6" spans="1:5" ht="16.5" customHeight="1">
      <c r="A6" t="s">
        <v>22</v>
      </c>
      <c r="B6" s="46">
        <v>0</v>
      </c>
      <c r="C6" s="48">
        <v>37</v>
      </c>
      <c r="D6" s="23"/>
      <c r="E6" s="23"/>
    </row>
    <row r="7" ht="6.75" customHeight="1"/>
    <row r="8" spans="1:3" ht="15.75">
      <c r="A8" s="1" t="s">
        <v>26</v>
      </c>
      <c r="B8" s="23" t="s">
        <v>37</v>
      </c>
      <c r="C8" s="23" t="s">
        <v>38</v>
      </c>
    </row>
    <row r="9" spans="1:8" ht="15.75">
      <c r="A9" s="18" t="s">
        <v>27</v>
      </c>
      <c r="B9" s="19"/>
      <c r="C9" s="25">
        <v>0</v>
      </c>
      <c r="H9" s="59" t="s">
        <v>16</v>
      </c>
    </row>
    <row r="10" spans="1:11" ht="15.75">
      <c r="A10" s="20" t="s">
        <v>1</v>
      </c>
      <c r="B10" s="12">
        <f>IF($B$6=0,0,ROUND(((C10*12)/$B$6*$C$6)/$M$1,0))</f>
        <v>0</v>
      </c>
      <c r="C10" s="26">
        <v>0</v>
      </c>
      <c r="H10" s="1" t="s">
        <v>45</v>
      </c>
      <c r="I10" s="1" t="s">
        <v>46</v>
      </c>
      <c r="J10" s="1" t="s">
        <v>42</v>
      </c>
      <c r="K10" s="1" t="s">
        <v>43</v>
      </c>
    </row>
    <row r="11" spans="1:8" ht="15.75">
      <c r="A11" s="20" t="s">
        <v>2</v>
      </c>
      <c r="B11" s="12">
        <f>IF($B$6=0,0,ROUND(((C11*12)/$B$6*$C$6)/$M$1,0))</f>
        <v>0</v>
      </c>
      <c r="C11" s="26">
        <v>0</v>
      </c>
      <c r="H11" s="1" t="s">
        <v>10</v>
      </c>
    </row>
    <row r="12" spans="1:11" ht="15.75">
      <c r="A12" s="20" t="s">
        <v>29</v>
      </c>
      <c r="B12" s="12">
        <f>IF($B$6=0,0,ROUND(((C12*12))/$M$1,0))</f>
        <v>0</v>
      </c>
      <c r="C12" s="26">
        <v>0</v>
      </c>
      <c r="H12" s="29">
        <v>190000</v>
      </c>
      <c r="I12" s="29">
        <v>245000</v>
      </c>
      <c r="J12" s="29">
        <v>190000</v>
      </c>
      <c r="K12" s="29">
        <v>193000</v>
      </c>
    </row>
    <row r="13" spans="1:11" ht="15.75">
      <c r="A13" s="20" t="s">
        <v>28</v>
      </c>
      <c r="B13" s="12">
        <f>IF($B$6=0,0,ROUND(((C13*12)/$B$6*$C$6)/$M$1,0))</f>
        <v>0</v>
      </c>
      <c r="C13" s="26">
        <v>0</v>
      </c>
      <c r="H13" s="29">
        <v>200000</v>
      </c>
      <c r="I13" s="29">
        <v>255000</v>
      </c>
      <c r="J13" s="29">
        <v>210000</v>
      </c>
      <c r="K13" s="29">
        <v>220000</v>
      </c>
    </row>
    <row r="14" spans="1:11" ht="15.75">
      <c r="A14" s="20" t="s">
        <v>30</v>
      </c>
      <c r="B14" s="21"/>
      <c r="C14" s="26">
        <v>0</v>
      </c>
      <c r="J14" s="2"/>
      <c r="K14" s="29"/>
    </row>
    <row r="15" spans="1:11" ht="15.75">
      <c r="A15" s="22" t="s">
        <v>3</v>
      </c>
      <c r="B15" s="15">
        <f>ROUND((C15*12)/$M$1,0)</f>
        <v>0</v>
      </c>
      <c r="C15" s="27">
        <v>0</v>
      </c>
      <c r="H15" s="1" t="s">
        <v>11</v>
      </c>
      <c r="J15" s="2"/>
      <c r="K15" s="29"/>
    </row>
    <row r="16" spans="2:11" ht="15.75">
      <c r="B16" s="6"/>
      <c r="C16" s="6"/>
      <c r="H16" s="29">
        <v>190000</v>
      </c>
      <c r="I16" s="29">
        <v>245000</v>
      </c>
      <c r="J16" s="29">
        <v>190000</v>
      </c>
      <c r="K16" s="29">
        <v>190000</v>
      </c>
    </row>
    <row r="17" spans="1:11" ht="15.75">
      <c r="A17" s="1" t="s">
        <v>47</v>
      </c>
      <c r="B17" s="23" t="s">
        <v>37</v>
      </c>
      <c r="C17" s="23" t="s">
        <v>38</v>
      </c>
      <c r="J17" s="2"/>
      <c r="K17" s="29"/>
    </row>
    <row r="18" spans="1:11" ht="15.75">
      <c r="A18" s="8" t="s">
        <v>8</v>
      </c>
      <c r="B18" s="9"/>
      <c r="C18" s="10">
        <f>SUM(C9:C14)</f>
        <v>0</v>
      </c>
      <c r="H18" s="1" t="s">
        <v>12</v>
      </c>
      <c r="J18" s="2"/>
      <c r="K18" s="29"/>
    </row>
    <row r="19" spans="1:11" ht="15.75">
      <c r="A19" s="11" t="s">
        <v>41</v>
      </c>
      <c r="B19" s="12"/>
      <c r="C19" s="13">
        <f>C18*12</f>
        <v>0</v>
      </c>
      <c r="H19" s="29">
        <v>190000</v>
      </c>
      <c r="I19" s="29">
        <v>235000</v>
      </c>
      <c r="J19" s="29">
        <v>200000</v>
      </c>
      <c r="K19" s="29">
        <v>200000</v>
      </c>
    </row>
    <row r="20" spans="1:11" ht="15.75">
      <c r="A20" s="11" t="s">
        <v>3</v>
      </c>
      <c r="B20" s="12">
        <f>B15</f>
        <v>0</v>
      </c>
      <c r="C20" s="13">
        <f>IF(B20="","",ROUND((B20*$M$1),2))</f>
        <v>0</v>
      </c>
      <c r="H20" s="29">
        <v>200000</v>
      </c>
      <c r="I20" s="29">
        <v>265000</v>
      </c>
      <c r="J20" s="29">
        <v>210000</v>
      </c>
      <c r="K20" s="29">
        <v>210000</v>
      </c>
    </row>
    <row r="21" spans="1:11" ht="15.75">
      <c r="A21" s="11" t="s">
        <v>49</v>
      </c>
      <c r="B21" s="12"/>
      <c r="C21" s="13">
        <f>ROUND(C22/12,2)</f>
        <v>0</v>
      </c>
      <c r="H21" s="29">
        <v>240000</v>
      </c>
      <c r="I21" s="29">
        <v>300000</v>
      </c>
      <c r="J21" s="29">
        <v>250000</v>
      </c>
      <c r="K21" s="29">
        <v>250000</v>
      </c>
    </row>
    <row r="22" spans="1:11" ht="15.75">
      <c r="A22" s="14" t="s">
        <v>48</v>
      </c>
      <c r="B22" s="15"/>
      <c r="C22" s="16">
        <f>$C$19+$C$20</f>
        <v>0</v>
      </c>
      <c r="H22" s="29"/>
      <c r="I22" s="29"/>
      <c r="J22" s="29"/>
      <c r="K22" s="29"/>
    </row>
    <row r="23" spans="2:11" ht="15.75">
      <c r="B23" s="3"/>
      <c r="H23" s="5" t="s">
        <v>15</v>
      </c>
      <c r="I23" s="29">
        <v>300000</v>
      </c>
      <c r="J23" s="2" t="s">
        <v>44</v>
      </c>
      <c r="K23" s="29"/>
    </row>
    <row r="24" spans="1:11" ht="15.75">
      <c r="A24" s="1" t="s">
        <v>36</v>
      </c>
      <c r="B24" s="23" t="s">
        <v>37</v>
      </c>
      <c r="C24" s="23" t="s">
        <v>38</v>
      </c>
      <c r="J24" s="2"/>
      <c r="K24" s="29"/>
    </row>
    <row r="25" spans="1:11" ht="15.75">
      <c r="A25" s="8" t="s">
        <v>35</v>
      </c>
      <c r="B25" s="9">
        <f>IF($B$6=0,0,CEILING((C25/$B$6*$C$6)/$M$1,100))</f>
        <v>0</v>
      </c>
      <c r="C25" s="10">
        <f>C22-C26</f>
        <v>0</v>
      </c>
      <c r="H25" s="1" t="s">
        <v>13</v>
      </c>
      <c r="J25" s="2"/>
      <c r="K25" s="29"/>
    </row>
    <row r="26" spans="1:11" ht="15.75">
      <c r="A26" s="11" t="s">
        <v>34</v>
      </c>
      <c r="B26" s="24">
        <v>0</v>
      </c>
      <c r="C26" s="13">
        <f>ROUND(((B26/$C$6*$B$6)*$M$1),2)</f>
        <v>0</v>
      </c>
      <c r="H26" s="29">
        <v>200000</v>
      </c>
      <c r="I26" s="29">
        <v>265000</v>
      </c>
      <c r="J26" s="29">
        <v>210000</v>
      </c>
      <c r="K26" s="29">
        <v>210000</v>
      </c>
    </row>
    <row r="27" spans="1:11" ht="15.75">
      <c r="A27" s="14" t="s">
        <v>23</v>
      </c>
      <c r="B27" s="15">
        <f>SUM(B25:B26)</f>
        <v>0</v>
      </c>
      <c r="C27" s="16">
        <f>ROUND((B27/$C$6*$B$6)*$M$1,2)</f>
        <v>0</v>
      </c>
      <c r="H27" s="29">
        <v>210000</v>
      </c>
      <c r="I27" s="29">
        <v>300000</v>
      </c>
      <c r="J27" s="29">
        <v>220000</v>
      </c>
      <c r="K27" s="29">
        <v>220000</v>
      </c>
    </row>
    <row r="28" spans="1:11" ht="15.75">
      <c r="A28" s="30" t="s">
        <v>57</v>
      </c>
      <c r="B28" s="60">
        <v>0</v>
      </c>
      <c r="C28" s="3"/>
      <c r="J28" s="2"/>
      <c r="K28" s="29"/>
    </row>
    <row r="29" spans="2:11" ht="15.75">
      <c r="B29" s="3"/>
      <c r="C29" s="3"/>
      <c r="H29" s="1" t="s">
        <v>14</v>
      </c>
      <c r="J29" s="2"/>
      <c r="K29" s="29"/>
    </row>
    <row r="30" spans="1:11" ht="15.75">
      <c r="A30" s="1" t="s">
        <v>32</v>
      </c>
      <c r="B30" s="23" t="s">
        <v>37</v>
      </c>
      <c r="C30" s="23" t="s">
        <v>38</v>
      </c>
      <c r="D30" s="5"/>
      <c r="H30" s="29">
        <v>195000</v>
      </c>
      <c r="I30" s="29">
        <v>285000</v>
      </c>
      <c r="J30" s="29">
        <v>200000</v>
      </c>
      <c r="K30" s="29">
        <v>200000</v>
      </c>
    </row>
    <row r="31" spans="1:3" ht="15.75">
      <c r="A31" s="31" t="s">
        <v>40</v>
      </c>
      <c r="B31" s="32">
        <f>IF(B28&lt;B25,B25+B26,B28+B26)</f>
        <v>0</v>
      </c>
      <c r="C31" s="33">
        <f>IF(B25-B28&lt;0,ROUND((((B28+B26)/$C$6*$B$6)*$M$1),2),ROUND(((B27/$C$6*$B$6)*$M$1),2))</f>
        <v>0</v>
      </c>
    </row>
    <row r="32" spans="1:3" ht="15.75">
      <c r="A32" s="34"/>
      <c r="B32" s="35"/>
      <c r="C32" s="36"/>
    </row>
    <row r="33" spans="1:3" ht="15.75">
      <c r="A33" s="31" t="s">
        <v>27</v>
      </c>
      <c r="B33" s="32">
        <f>IF(B25-B28&lt;0,B28,B25)</f>
        <v>0</v>
      </c>
      <c r="C33" s="33">
        <f>ROUND((((B33/$C$6*$B$6)/12)*$M$1),2)</f>
        <v>0</v>
      </c>
    </row>
    <row r="34" spans="1:3" ht="15.75">
      <c r="A34" s="34" t="s">
        <v>31</v>
      </c>
      <c r="B34" s="37">
        <f>B26</f>
        <v>0</v>
      </c>
      <c r="C34" s="38">
        <f>ROUND(C26/12,2)</f>
        <v>0</v>
      </c>
    </row>
    <row r="35" spans="1:3" ht="15.75">
      <c r="A35" s="39" t="s">
        <v>39</v>
      </c>
      <c r="B35" s="47"/>
      <c r="C35" s="41">
        <f>C34+C33</f>
        <v>0</v>
      </c>
    </row>
    <row r="36" spans="1:3" ht="15.75">
      <c r="A36" s="34"/>
      <c r="B36" s="35"/>
      <c r="C36" s="36"/>
    </row>
    <row r="37" spans="1:10" ht="15.75">
      <c r="A37" s="39" t="s">
        <v>9</v>
      </c>
      <c r="B37" s="40"/>
      <c r="C37" s="41">
        <f>C31-C22</f>
        <v>0</v>
      </c>
      <c r="J37" s="58" t="s">
        <v>68</v>
      </c>
    </row>
  </sheetData>
  <sheetProtection password="CABB" sheet="1" objects="1" scenarios="1"/>
  <printOptions/>
  <pageMargins left="0.4330708661417323" right="0.2755905511811024" top="0.23" bottom="0.17" header="0.17" footer="0.1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37.125" style="0" customWidth="1"/>
    <col min="2" max="2" width="12.00390625" style="0" customWidth="1"/>
    <col min="3" max="3" width="11.625" style="0" customWidth="1"/>
    <col min="5" max="5" width="8.875" style="0" customWidth="1"/>
    <col min="7" max="7" width="5.625" style="0" customWidth="1"/>
    <col min="8" max="8" width="8.625" style="0" customWidth="1"/>
  </cols>
  <sheetData>
    <row r="1" spans="1:13" ht="20.25">
      <c r="A1" s="4" t="s">
        <v>62</v>
      </c>
      <c r="L1">
        <v>1.296544</v>
      </c>
      <c r="M1" t="s">
        <v>6</v>
      </c>
    </row>
    <row r="2" spans="1:10" ht="16.5" thickBot="1">
      <c r="A2" s="63" t="s">
        <v>33</v>
      </c>
      <c r="H2" s="42" t="s">
        <v>59</v>
      </c>
      <c r="I2" s="49"/>
      <c r="J2" s="49"/>
    </row>
    <row r="3" spans="1:10" ht="15.75">
      <c r="A3" s="55"/>
      <c r="H3" s="54" t="s">
        <v>60</v>
      </c>
      <c r="I3" s="51"/>
      <c r="J3" s="61"/>
    </row>
    <row r="4" spans="1:10" ht="16.5" thickBot="1">
      <c r="A4" s="56"/>
      <c r="H4" s="52" t="s">
        <v>58</v>
      </c>
      <c r="I4" s="53"/>
      <c r="J4" s="62"/>
    </row>
    <row r="5" ht="9" customHeight="1">
      <c r="A5" s="17"/>
    </row>
    <row r="6" spans="1:3" ht="15.75">
      <c r="A6" t="s">
        <v>22</v>
      </c>
      <c r="B6" s="28">
        <v>0</v>
      </c>
      <c r="C6" s="57">
        <v>37</v>
      </c>
    </row>
    <row r="7" ht="7.5" customHeight="1">
      <c r="B7" s="3"/>
    </row>
    <row r="8" spans="1:8" ht="15.75">
      <c r="A8" s="1" t="s">
        <v>0</v>
      </c>
      <c r="B8" s="1" t="s">
        <v>4</v>
      </c>
      <c r="C8" s="1" t="s">
        <v>5</v>
      </c>
      <c r="H8" t="s">
        <v>17</v>
      </c>
    </row>
    <row r="9" spans="1:9" ht="15.75">
      <c r="A9" t="s">
        <v>7</v>
      </c>
      <c r="B9" s="19"/>
      <c r="C9" s="25">
        <v>0</v>
      </c>
      <c r="H9" t="s">
        <v>18</v>
      </c>
      <c r="I9" t="s">
        <v>20</v>
      </c>
    </row>
    <row r="10" spans="1:10" ht="15.75">
      <c r="A10" t="s">
        <v>50</v>
      </c>
      <c r="B10" s="12">
        <f>IF($B$6=0,0,ROUND(((C10*12)/$B$6*$C$6)/$L$1,0))</f>
        <v>0</v>
      </c>
      <c r="C10" s="26">
        <v>0</v>
      </c>
      <c r="H10" s="2">
        <v>217631</v>
      </c>
      <c r="I10">
        <v>4</v>
      </c>
      <c r="J10" t="s">
        <v>21</v>
      </c>
    </row>
    <row r="11" spans="1:9" ht="15.75">
      <c r="A11" t="s">
        <v>51</v>
      </c>
      <c r="B11" s="12">
        <f>IF($B$6=0,0,ROUND(((C11*12)/$B$6*$C$6)/$L$1,0))</f>
        <v>0</v>
      </c>
      <c r="C11" s="26">
        <v>0</v>
      </c>
      <c r="H11" s="2">
        <v>234551</v>
      </c>
      <c r="I11">
        <v>5</v>
      </c>
    </row>
    <row r="12" spans="1:9" ht="15.75">
      <c r="A12" t="s">
        <v>63</v>
      </c>
      <c r="B12" s="12">
        <f>IF($B$6=0,0,ROUND(((C12*12)/$B$6*$C$6)/$L$1,0))</f>
        <v>0</v>
      </c>
      <c r="C12" s="26">
        <v>0</v>
      </c>
      <c r="H12" s="2">
        <v>249983</v>
      </c>
      <c r="I12">
        <v>6</v>
      </c>
    </row>
    <row r="13" spans="2:9" ht="15.75">
      <c r="B13" s="12">
        <f>IF($B$6=0,0,ROUND(((C13*12)/$B$6*$C$6)/$L$1,0))</f>
        <v>0</v>
      </c>
      <c r="C13" s="26">
        <v>0</v>
      </c>
      <c r="H13" s="2">
        <v>265188</v>
      </c>
      <c r="I13">
        <v>8</v>
      </c>
    </row>
    <row r="14" spans="1:3" ht="15.75">
      <c r="A14" t="s">
        <v>3</v>
      </c>
      <c r="B14" s="12">
        <f>IF($B$6=0,0,ROUND((C14*12)/$L$1,0))</f>
        <v>0</v>
      </c>
      <c r="C14" s="27">
        <v>0</v>
      </c>
    </row>
    <row r="15" ht="7.5" customHeight="1"/>
    <row r="16" spans="1:8" ht="15.75">
      <c r="A16" s="1" t="s">
        <v>47</v>
      </c>
      <c r="B16" s="23" t="s">
        <v>37</v>
      </c>
      <c r="C16" s="23" t="s">
        <v>38</v>
      </c>
      <c r="H16" t="s">
        <v>19</v>
      </c>
    </row>
    <row r="17" spans="1:10" ht="15.75">
      <c r="A17" s="8" t="s">
        <v>8</v>
      </c>
      <c r="B17" s="9"/>
      <c r="C17" s="10">
        <f>SUM(C8:C13)</f>
        <v>0</v>
      </c>
      <c r="H17" s="2">
        <v>210000</v>
      </c>
      <c r="I17">
        <v>1</v>
      </c>
      <c r="J17" t="s">
        <v>21</v>
      </c>
    </row>
    <row r="18" spans="1:9" ht="15.75">
      <c r="A18" s="11" t="s">
        <v>41</v>
      </c>
      <c r="B18" s="7">
        <f>IF($B$6=0,0,ROUND((C18/$B$6*$C$6)/$L$1,0))</f>
        <v>0</v>
      </c>
      <c r="C18" s="13">
        <f>C17*12</f>
        <v>0</v>
      </c>
      <c r="H18" s="2">
        <v>220000</v>
      </c>
      <c r="I18">
        <v>2</v>
      </c>
    </row>
    <row r="19" spans="1:3" ht="15.75">
      <c r="A19" s="11" t="s">
        <v>3</v>
      </c>
      <c r="B19" s="12">
        <f>B14</f>
        <v>0</v>
      </c>
      <c r="C19" s="13">
        <f>IF(B19="","",ROUND((B19*$L$1),2))</f>
        <v>0</v>
      </c>
    </row>
    <row r="20" spans="1:3" ht="15.75">
      <c r="A20" s="11" t="s">
        <v>49</v>
      </c>
      <c r="B20" s="12"/>
      <c r="C20" s="13">
        <f>(C18+C19)/12</f>
        <v>0</v>
      </c>
    </row>
    <row r="21" spans="1:3" ht="15.75">
      <c r="A21" s="14" t="s">
        <v>48</v>
      </c>
      <c r="B21" s="15"/>
      <c r="C21" s="16">
        <f>C18+C19</f>
        <v>0</v>
      </c>
    </row>
    <row r="22" spans="2:3" ht="9.75" customHeight="1">
      <c r="B22" s="3"/>
      <c r="C22" s="3"/>
    </row>
    <row r="23" spans="1:3" ht="15.75">
      <c r="A23" s="1" t="s">
        <v>36</v>
      </c>
      <c r="B23" s="23" t="s">
        <v>37</v>
      </c>
      <c r="C23" s="23" t="s">
        <v>38</v>
      </c>
    </row>
    <row r="24" spans="1:3" ht="15.75">
      <c r="A24" s="8" t="s">
        <v>52</v>
      </c>
      <c r="B24" s="45">
        <v>0</v>
      </c>
      <c r="C24" s="10">
        <f>ROUND(((B24/$C$6*$B$6)*$L$1),2)</f>
        <v>0</v>
      </c>
    </row>
    <row r="25" spans="1:3" ht="15.75">
      <c r="A25" s="11" t="s">
        <v>34</v>
      </c>
      <c r="B25" s="24">
        <v>0</v>
      </c>
      <c r="C25" s="13">
        <f>ROUND(((B25/$C$6*$B$6)*$L$1),2)</f>
        <v>0</v>
      </c>
    </row>
    <row r="26" spans="1:3" ht="15.75">
      <c r="A26" s="14" t="s">
        <v>23</v>
      </c>
      <c r="B26" s="15">
        <f>SUM(B24:B25)</f>
        <v>0</v>
      </c>
      <c r="C26" s="16">
        <f>ROUND((B26/$C$6*$B$6)*$L$1,2)</f>
        <v>0</v>
      </c>
    </row>
    <row r="27" spans="2:3" ht="9" customHeight="1">
      <c r="B27" s="3"/>
      <c r="C27" s="3"/>
    </row>
    <row r="28" spans="1:3" ht="15.75">
      <c r="A28" s="42" t="s">
        <v>32</v>
      </c>
      <c r="B28" s="23" t="s">
        <v>37</v>
      </c>
      <c r="C28" s="23" t="s">
        <v>38</v>
      </c>
    </row>
    <row r="29" spans="1:3" ht="15.75">
      <c r="A29" s="31" t="s">
        <v>56</v>
      </c>
      <c r="B29" s="32">
        <f>B26</f>
        <v>0</v>
      </c>
      <c r="C29" s="33">
        <f>(B29*$L$1)/$C$6*$B$6</f>
        <v>0</v>
      </c>
    </row>
    <row r="30" spans="1:3" ht="9" customHeight="1">
      <c r="A30" s="34"/>
      <c r="B30" s="35"/>
      <c r="C30" s="36"/>
    </row>
    <row r="31" spans="1:3" ht="15.75">
      <c r="A31" s="31" t="s">
        <v>8</v>
      </c>
      <c r="B31" s="32">
        <f>B24</f>
        <v>0</v>
      </c>
      <c r="C31" s="33">
        <f>((B31*$L$1)/$C$6*$B$6)/12</f>
        <v>0</v>
      </c>
    </row>
    <row r="32" spans="1:3" ht="15.75">
      <c r="A32" s="34" t="s">
        <v>3</v>
      </c>
      <c r="B32" s="37">
        <f>B25</f>
        <v>0</v>
      </c>
      <c r="C32" s="38">
        <f>((B32*$L$1)/$C$6*$B$6)/12</f>
        <v>0</v>
      </c>
    </row>
    <row r="33" spans="1:3" ht="15.75">
      <c r="A33" s="39" t="s">
        <v>39</v>
      </c>
      <c r="B33" s="40"/>
      <c r="C33" s="41">
        <f>SUM(C31:C32)</f>
        <v>0</v>
      </c>
    </row>
    <row r="34" spans="1:3" ht="9" customHeight="1">
      <c r="A34" s="34"/>
      <c r="B34" s="37"/>
      <c r="C34" s="38"/>
    </row>
    <row r="35" spans="1:3" ht="15.75">
      <c r="A35" s="34" t="s">
        <v>55</v>
      </c>
      <c r="B35" s="37"/>
      <c r="C35" s="38">
        <f>C26-C21</f>
        <v>0</v>
      </c>
    </row>
    <row r="36" spans="1:3" ht="8.25" customHeight="1">
      <c r="A36" s="34"/>
      <c r="B36" s="35"/>
      <c r="C36" s="36"/>
    </row>
    <row r="37" spans="1:3" ht="15.75">
      <c r="A37" s="31" t="s">
        <v>24</v>
      </c>
      <c r="B37" s="43"/>
      <c r="C37" s="44"/>
    </row>
    <row r="38" spans="1:3" ht="15.75">
      <c r="A38" s="34" t="s">
        <v>54</v>
      </c>
      <c r="B38" s="37">
        <f>B29</f>
        <v>0</v>
      </c>
      <c r="C38" s="38">
        <f>ROUND(((B38/$C$6*$B$6)*$L$1),2)</f>
        <v>0</v>
      </c>
    </row>
    <row r="39" spans="1:3" ht="15.75">
      <c r="A39" s="34" t="s">
        <v>53</v>
      </c>
      <c r="B39" s="37"/>
      <c r="C39" s="38">
        <f>C21</f>
        <v>0</v>
      </c>
    </row>
    <row r="40" spans="1:9" ht="15.75">
      <c r="A40" s="39" t="s">
        <v>25</v>
      </c>
      <c r="B40" s="40">
        <f>IF(C40&lt;0,0,ROUND(C40/$L$1,2))</f>
        <v>0</v>
      </c>
      <c r="C40" s="41">
        <f>IF(C38-C39&gt;0,0,(C38-C39)*-1)</f>
        <v>0</v>
      </c>
      <c r="I40" s="58" t="s">
        <v>68</v>
      </c>
    </row>
  </sheetData>
  <sheetProtection password="CABB" sheet="1" objects="1" scenarios="1"/>
  <printOptions/>
  <pageMargins left="0.48" right="0.41" top="0.16" bottom="0.17" header="0.19" footer="0.2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15.75390625" style="0" customWidth="1"/>
    <col min="2" max="2" width="21.50390625" style="0" customWidth="1"/>
  </cols>
  <sheetData>
    <row r="1" ht="15.75">
      <c r="A1" t="s">
        <v>67</v>
      </c>
    </row>
    <row r="2" ht="15.75">
      <c r="A2" s="1" t="s">
        <v>69</v>
      </c>
    </row>
    <row r="4" spans="1:2" ht="15.75">
      <c r="A4" s="64" t="s">
        <v>66</v>
      </c>
      <c r="B4" s="64" t="s">
        <v>65</v>
      </c>
    </row>
    <row r="5" spans="1:2" ht="15.75">
      <c r="A5" s="65">
        <v>100</v>
      </c>
      <c r="B5" s="65">
        <v>37</v>
      </c>
    </row>
    <row r="6" spans="1:2" ht="15.75">
      <c r="A6" s="65">
        <v>95</v>
      </c>
      <c r="B6" s="65">
        <v>35</v>
      </c>
    </row>
    <row r="7" spans="1:2" ht="15.75">
      <c r="A7" s="65">
        <v>90</v>
      </c>
      <c r="B7" s="65">
        <v>33.5</v>
      </c>
    </row>
    <row r="8" spans="1:2" ht="15.75">
      <c r="A8" s="65">
        <v>85</v>
      </c>
      <c r="B8" s="65">
        <v>31.5</v>
      </c>
    </row>
    <row r="9" spans="1:2" ht="15.75">
      <c r="A9" s="65">
        <v>80</v>
      </c>
      <c r="B9" s="65">
        <v>29.5</v>
      </c>
    </row>
    <row r="10" spans="1:2" ht="15.75">
      <c r="A10" s="65">
        <v>75</v>
      </c>
      <c r="B10" s="65">
        <v>28</v>
      </c>
    </row>
    <row r="11" spans="1:2" ht="15.75">
      <c r="A11" s="65">
        <v>70</v>
      </c>
      <c r="B11" s="65">
        <v>26</v>
      </c>
    </row>
    <row r="12" spans="1:2" ht="15.75">
      <c r="A12" s="65">
        <v>65</v>
      </c>
      <c r="B12" s="65">
        <v>24</v>
      </c>
    </row>
    <row r="13" spans="1:2" ht="15.75">
      <c r="A13" s="65">
        <v>60</v>
      </c>
      <c r="B13" s="65">
        <v>22</v>
      </c>
    </row>
    <row r="14" spans="1:2" ht="15.75">
      <c r="A14" s="65">
        <v>55</v>
      </c>
      <c r="B14" s="65">
        <v>20.5</v>
      </c>
    </row>
    <row r="15" spans="1:2" ht="15.75">
      <c r="A15" s="65">
        <v>50</v>
      </c>
      <c r="B15" s="65">
        <v>18.5</v>
      </c>
    </row>
    <row r="18" ht="15.75">
      <c r="F18" s="58" t="s">
        <v>64</v>
      </c>
    </row>
  </sheetData>
  <sheetProtection password="CAB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Kirkenettet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Kmimage</dc:creator>
  <cp:keywords/>
  <dc:description/>
  <cp:lastModifiedBy>Christa Hector Knudsen</cp:lastModifiedBy>
  <cp:lastPrinted>2009-10-06T12:51:12Z</cp:lastPrinted>
  <dcterms:created xsi:type="dcterms:W3CDTF">2009-08-12T14:34:43Z</dcterms:created>
  <dcterms:modified xsi:type="dcterms:W3CDTF">2009-10-22T13:52:41Z</dcterms:modified>
  <cp:category/>
  <cp:version/>
  <cp:contentType/>
  <cp:contentStatus/>
</cp:coreProperties>
</file>